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01"/>
  <fileSharing readOnlyRecommended="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19\TOpthoff\"/>
    </mc:Choice>
  </mc:AlternateContent>
  <xr:revisionPtr revIDLastSave="0" documentId="8_{0FCBE108-D3CE-439E-9060-3859E8F18A2E}" xr6:coauthVersionLast="43" xr6:coauthVersionMax="43" xr10:uidLastSave="{00000000-0000-0000-0000-000000000000}"/>
  <bookViews>
    <workbookView xWindow="-107" yWindow="-107" windowWidth="20847" windowHeight="11208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7" i="1" l="1"/>
  <c r="D39" i="1" l="1"/>
  <c r="B43" i="1"/>
  <c r="C43" i="1"/>
  <c r="D43" i="1"/>
  <c r="G39" i="1"/>
  <c r="J39" i="1"/>
  <c r="N39" i="1"/>
  <c r="Q39" i="1"/>
  <c r="H39" i="1"/>
  <c r="K39" i="1"/>
  <c r="O39" i="1"/>
  <c r="R39" i="1"/>
  <c r="S39" i="1"/>
  <c r="D40" i="1"/>
  <c r="G40" i="1"/>
  <c r="J40" i="1"/>
  <c r="N40" i="1"/>
  <c r="Q40" i="1"/>
  <c r="H40" i="1"/>
  <c r="K40" i="1"/>
  <c r="O40" i="1"/>
  <c r="R40" i="1"/>
  <c r="S40" i="1"/>
  <c r="D41" i="1"/>
  <c r="G41" i="1"/>
  <c r="J41" i="1"/>
  <c r="N41" i="1"/>
  <c r="Q41" i="1"/>
  <c r="H41" i="1"/>
  <c r="K41" i="1"/>
  <c r="O41" i="1"/>
  <c r="R41" i="1"/>
  <c r="S41" i="1"/>
  <c r="D42" i="1"/>
  <c r="G42" i="1"/>
  <c r="J42" i="1"/>
  <c r="N42" i="1"/>
  <c r="Q42" i="1"/>
  <c r="H42" i="1"/>
  <c r="K42" i="1"/>
  <c r="O42" i="1"/>
  <c r="R42" i="1"/>
  <c r="S42" i="1"/>
  <c r="S43" i="1"/>
  <c r="V44" i="1"/>
  <c r="K24" i="1"/>
  <c r="G7" i="1"/>
  <c r="B31" i="1"/>
  <c r="H7" i="1"/>
  <c r="C31" i="1" s="1"/>
  <c r="D31" i="1" s="1"/>
  <c r="E8" i="1"/>
  <c r="G8" i="1"/>
  <c r="E9" i="1"/>
  <c r="G9" i="1"/>
  <c r="E10" i="1"/>
  <c r="G10" i="1"/>
  <c r="G11" i="1"/>
  <c r="B35" i="1"/>
  <c r="C8" i="1"/>
  <c r="C7" i="1"/>
  <c r="F8" i="1"/>
  <c r="H8" i="1"/>
  <c r="C9" i="1"/>
  <c r="F9" i="1"/>
  <c r="H9" i="1"/>
  <c r="F10" i="1"/>
  <c r="H10" i="1" s="1"/>
  <c r="H11" i="1" s="1"/>
  <c r="C35" i="1" s="1"/>
  <c r="B32" i="1"/>
  <c r="C32" i="1"/>
  <c r="D32" i="1"/>
  <c r="B33" i="1"/>
  <c r="C33" i="1"/>
  <c r="D33" i="1"/>
  <c r="B34" i="1"/>
  <c r="B21" i="1"/>
  <c r="B10" i="1"/>
  <c r="C10" i="1"/>
  <c r="O11" i="1"/>
  <c r="E11" i="1"/>
  <c r="C11" i="1"/>
  <c r="U41" i="1"/>
  <c r="U40" i="1"/>
  <c r="T39" i="1"/>
  <c r="K19" i="1"/>
  <c r="T40" i="1"/>
  <c r="V39" i="1"/>
  <c r="U39" i="1"/>
  <c r="T42" i="1"/>
  <c r="U42" i="1"/>
  <c r="P41" i="1"/>
  <c r="I20" i="1"/>
  <c r="J20" i="1"/>
  <c r="T41" i="1"/>
  <c r="V40" i="1"/>
  <c r="F11" i="1"/>
  <c r="M9" i="1" s="1"/>
  <c r="K21" i="1"/>
  <c r="P42" i="1"/>
  <c r="I21" i="1"/>
  <c r="J21" i="1"/>
  <c r="V41" i="1"/>
  <c r="P39" i="1"/>
  <c r="I18" i="1"/>
  <c r="J18" i="1"/>
  <c r="K20" i="1"/>
  <c r="V42" i="1"/>
  <c r="V38" i="1"/>
  <c r="P40" i="1"/>
  <c r="I19" i="1"/>
  <c r="J19" i="1"/>
  <c r="K18" i="1"/>
  <c r="K22" i="1"/>
  <c r="K23" i="1"/>
  <c r="C21" i="1"/>
  <c r="F20" i="1"/>
  <c r="E20" i="1"/>
  <c r="F19" i="1"/>
  <c r="E19" i="1"/>
  <c r="F18" i="1"/>
  <c r="E18" i="1"/>
  <c r="H20" i="1"/>
  <c r="H18" i="1"/>
  <c r="H19" i="1"/>
  <c r="G18" i="1"/>
  <c r="G20" i="1"/>
  <c r="G19" i="1"/>
  <c r="F21" i="1"/>
  <c r="E21" i="1"/>
  <c r="G21" i="1"/>
  <c r="L7" i="1"/>
  <c r="L8" i="1"/>
  <c r="L9" i="1"/>
  <c r="F22" i="1"/>
  <c r="H21" i="1"/>
  <c r="E22" i="1"/>
  <c r="O18" i="1"/>
  <c r="O20" i="1"/>
  <c r="O19" i="1"/>
  <c r="O21" i="1"/>
  <c r="N19" i="1"/>
  <c r="N20" i="1"/>
  <c r="R20" i="1"/>
  <c r="N18" i="1"/>
  <c r="R18" i="1"/>
  <c r="N21" i="1"/>
  <c r="R21" i="1"/>
  <c r="L10" i="1"/>
  <c r="L11" i="1"/>
  <c r="L20" i="1"/>
  <c r="L21" i="1"/>
  <c r="N7" i="1"/>
  <c r="R7" i="1"/>
  <c r="N11" i="1"/>
  <c r="N9" i="1"/>
  <c r="R9" i="1"/>
  <c r="N8" i="1"/>
  <c r="R8" i="1"/>
  <c r="L18" i="1"/>
  <c r="L19" i="1"/>
  <c r="N10" i="1"/>
  <c r="R10" i="1"/>
  <c r="M21" i="1"/>
  <c r="H22" i="1"/>
  <c r="M22" i="1"/>
  <c r="O22" i="1"/>
  <c r="M20" i="1"/>
  <c r="M18" i="1"/>
  <c r="M19" i="1"/>
  <c r="R19" i="1"/>
  <c r="R22" i="1"/>
  <c r="R11" i="1"/>
  <c r="P18" i="1"/>
  <c r="Q18" i="1"/>
  <c r="P20" i="1"/>
  <c r="Q20" i="1"/>
  <c r="P21" i="1"/>
  <c r="Q21" i="1"/>
  <c r="P19" i="1"/>
  <c r="Q19" i="1"/>
  <c r="G22" i="1"/>
  <c r="L22" i="1"/>
  <c r="N22" i="1"/>
  <c r="P10" i="1" l="1"/>
  <c r="Q10" i="1" s="1"/>
  <c r="D35" i="1"/>
  <c r="H33" i="1"/>
  <c r="K33" i="1" s="1"/>
  <c r="O33" i="1" s="1"/>
  <c r="R33" i="1" s="1"/>
  <c r="H32" i="1"/>
  <c r="K32" i="1" s="1"/>
  <c r="O32" i="1" s="1"/>
  <c r="R32" i="1" s="1"/>
  <c r="G31" i="1"/>
  <c r="J31" i="1" s="1"/>
  <c r="N31" i="1" s="1"/>
  <c r="H31" i="1"/>
  <c r="K31" i="1" s="1"/>
  <c r="O31" i="1" s="1"/>
  <c r="R31" i="1" s="1"/>
  <c r="M8" i="1"/>
  <c r="P7" i="1"/>
  <c r="Q7" i="1" s="1"/>
  <c r="M7" i="1"/>
  <c r="M11" i="1" s="1"/>
  <c r="M10" i="1"/>
  <c r="P9" i="1"/>
  <c r="Q9" i="1" s="1"/>
  <c r="C34" i="1"/>
  <c r="D34" i="1" s="1"/>
  <c r="P8" i="1"/>
  <c r="Q8" i="1" s="1"/>
  <c r="Q31" i="1" l="1"/>
  <c r="P31" i="1"/>
  <c r="I7" i="1" s="1"/>
  <c r="J7" i="1" s="1"/>
  <c r="G34" i="1"/>
  <c r="J34" i="1" s="1"/>
  <c r="N34" i="1" s="1"/>
  <c r="H34" i="1"/>
  <c r="K34" i="1" s="1"/>
  <c r="O34" i="1" s="1"/>
  <c r="R34" i="1" s="1"/>
  <c r="G32" i="1"/>
  <c r="J32" i="1" s="1"/>
  <c r="N32" i="1" s="1"/>
  <c r="G33" i="1"/>
  <c r="J33" i="1" s="1"/>
  <c r="N33" i="1" s="1"/>
  <c r="P34" i="1" l="1"/>
  <c r="I10" i="1" s="1"/>
  <c r="J10" i="1" s="1"/>
  <c r="Q34" i="1"/>
  <c r="S34" i="1" s="1"/>
  <c r="K10" i="1" s="1"/>
  <c r="Q33" i="1"/>
  <c r="S33" i="1" s="1"/>
  <c r="K9" i="1" s="1"/>
  <c r="P33" i="1"/>
  <c r="I9" i="1" s="1"/>
  <c r="J9" i="1" s="1"/>
  <c r="Q32" i="1"/>
  <c r="S32" i="1" s="1"/>
  <c r="K8" i="1" s="1"/>
  <c r="P32" i="1"/>
  <c r="I8" i="1" s="1"/>
  <c r="J8" i="1" s="1"/>
  <c r="S31" i="1"/>
  <c r="K7" i="1" s="1"/>
  <c r="S35" i="1" l="1"/>
  <c r="V36" i="1" s="1"/>
  <c r="K13" i="1" s="1"/>
  <c r="K11" i="1" l="1"/>
  <c r="K12" i="1" s="1"/>
</calcChain>
</file>

<file path=xl/sharedStrings.xml><?xml version="1.0" encoding="utf-8"?>
<sst xmlns="http://schemas.openxmlformats.org/spreadsheetml/2006/main" count="115" uniqueCount="72">
  <si>
    <t>TEMPLATE for the computation of I3- values and their significance</t>
  </si>
  <si>
    <t>critical values</t>
  </si>
  <si>
    <t>χ2; df = 3</t>
  </si>
  <si>
    <t>z</t>
  </si>
  <si>
    <t>The user fills out fields [B7:B9, B11] or [B17:B19, b21, C17:c19, C21]</t>
  </si>
  <si>
    <r>
      <rPr>
        <i/>
        <sz val="9"/>
        <color theme="1"/>
        <rFont val="Calibri"/>
        <family val="2"/>
        <scheme val="minor"/>
      </rPr>
      <t xml:space="preserve">p </t>
    </r>
    <r>
      <rPr>
        <sz val="9"/>
        <color theme="1"/>
        <rFont val="Calibri"/>
        <family val="2"/>
        <scheme val="minor"/>
      </rPr>
      <t>&lt; 0.001</t>
    </r>
  </si>
  <si>
    <r>
      <rPr>
        <i/>
        <sz val="9"/>
        <color theme="1"/>
        <rFont val="Calibri"/>
        <family val="2"/>
        <scheme val="minor"/>
      </rPr>
      <t xml:space="preserve">p </t>
    </r>
    <r>
      <rPr>
        <sz val="9"/>
        <color theme="1"/>
        <rFont val="Calibri"/>
        <family val="2"/>
        <scheme val="minor"/>
      </rPr>
      <t>&lt; 0.01</t>
    </r>
  </si>
  <si>
    <t>TESTING A SPECIFIC DISTRIBUTION ON WHETHER IT IS ABOVE OR BELOW EXPECTATION; fill out B7:B9 and B11!</t>
  </si>
  <si>
    <r>
      <rPr>
        <i/>
        <sz val="9"/>
        <color theme="1"/>
        <rFont val="Calibri"/>
        <family val="2"/>
        <scheme val="minor"/>
      </rPr>
      <t xml:space="preserve">p </t>
    </r>
    <r>
      <rPr>
        <sz val="9"/>
        <color theme="1"/>
        <rFont val="Calibri"/>
        <family val="2"/>
        <scheme val="minor"/>
      </rPr>
      <t>&lt; 0.05</t>
    </r>
  </si>
  <si>
    <t>PLOS ONE</t>
  </si>
  <si>
    <t>observed</t>
  </si>
  <si>
    <t>expected</t>
  </si>
  <si>
    <t>classes</t>
  </si>
  <si>
    <t>i3</t>
  </si>
  <si>
    <t>i3_exp</t>
  </si>
  <si>
    <r>
      <t xml:space="preserve">standardized residuals of the </t>
    </r>
    <r>
      <rPr>
        <b/>
        <i/>
        <sz val="11"/>
        <color theme="1"/>
        <rFont val="Times New Roman"/>
        <family val="1"/>
      </rPr>
      <t>χ</t>
    </r>
    <r>
      <rPr>
        <b/>
        <i/>
        <sz val="11"/>
        <color theme="1"/>
        <rFont val="Calibri"/>
        <family val="2"/>
      </rPr>
      <t>2</t>
    </r>
  </si>
  <si>
    <t>χ2</t>
  </si>
  <si>
    <t>I3 / N
obs.</t>
  </si>
  <si>
    <t>i3 /N
exp.</t>
  </si>
  <si>
    <t>p(obs)</t>
  </si>
  <si>
    <t>p(exp)</t>
  </si>
  <si>
    <t>z-test</t>
  </si>
  <si>
    <t>Cohen's 
w</t>
  </si>
  <si>
    <t>(a)</t>
  </si>
  <si>
    <t>(b)</t>
  </si>
  <si>
    <t xml:space="preserve">(c )  </t>
  </si>
  <si>
    <t>(d)</t>
  </si>
  <si>
    <t>(e)</t>
  </si>
  <si>
    <t>(f)</t>
  </si>
  <si>
    <t>(g)</t>
  </si>
  <si>
    <t>(h)</t>
  </si>
  <si>
    <t>(i)</t>
  </si>
  <si>
    <t>(j)</t>
  </si>
  <si>
    <t>(k)</t>
  </si>
  <si>
    <t>(l)</t>
  </si>
  <si>
    <t>(m)</t>
  </si>
  <si>
    <t>(o )</t>
  </si>
  <si>
    <t>(p)</t>
  </si>
  <si>
    <t>(q)</t>
  </si>
  <si>
    <t>(r)</t>
  </si>
  <si>
    <t>(s)</t>
  </si>
  <si>
    <t>top-1%</t>
  </si>
  <si>
    <t>99-100</t>
  </si>
  <si>
    <t>top10%</t>
  </si>
  <si>
    <t>90-98</t>
  </si>
  <si>
    <t>top-50%</t>
  </si>
  <si>
    <t>50-89</t>
  </si>
  <si>
    <t>bottom-50%</t>
  </si>
  <si>
    <t>0-49</t>
  </si>
  <si>
    <t>sum</t>
  </si>
  <si>
    <r>
      <rPr>
        <b/>
        <sz val="11"/>
        <color theme="1"/>
        <rFont val="Times New Roman"/>
        <family val="1"/>
      </rPr>
      <t>χ</t>
    </r>
    <r>
      <rPr>
        <b/>
        <sz val="11"/>
        <color theme="1"/>
        <rFont val="Calibri"/>
        <family val="2"/>
      </rPr>
      <t>2 =</t>
    </r>
  </si>
  <si>
    <t>df = 3</t>
  </si>
  <si>
    <t>Cramer's V</t>
  </si>
  <si>
    <t>TESTING TWO DISTRIBUTIONS AGAINST EACH OTHER FOR STATISTICAL SIGNIFICANT DIFFERENCES; fill out B17: C19 and B21:C21.</t>
  </si>
  <si>
    <t>PLOS ONE 
vs. 
RSC Advances</t>
  </si>
  <si>
    <t>unit 1</t>
  </si>
  <si>
    <t>unit2</t>
  </si>
  <si>
    <t>n1</t>
  </si>
  <si>
    <t>n2</t>
  </si>
  <si>
    <t>I3_1</t>
  </si>
  <si>
    <t>I3_2</t>
  </si>
  <si>
    <t>I3/N 
unit1</t>
  </si>
  <si>
    <t>I3/N
unit2</t>
  </si>
  <si>
    <t>p1</t>
  </si>
  <si>
    <t>p2</t>
  </si>
  <si>
    <t>computation of the chi-square of observed versus expected values of I3; i5:j10</t>
  </si>
  <si>
    <t>residuals</t>
  </si>
  <si>
    <t>squares</t>
  </si>
  <si>
    <t>exp</t>
  </si>
  <si>
    <t>obs-exp</t>
  </si>
  <si>
    <t>computation of the chi-square between two distributions of i3(li15:j18)</t>
  </si>
  <si>
    <t>Cohen's 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</si>
</sst>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00"/>
  </numFmts>
  <fonts count="3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4"/>
      <name val="Calibri"/>
      <family val="2"/>
      <scheme val="minor"/>
    </font>
    <font>
      <b/>
      <sz val="11"/>
      <color theme="4"/>
      <name val="Calibri"/>
      <family val="2"/>
      <scheme val="minor"/>
    </font>
    <font>
      <b/>
      <sz val="11"/>
      <color theme="1"/>
      <name val="Times New Roman"/>
      <family val="1"/>
    </font>
    <font>
      <b/>
      <sz val="11"/>
      <color theme="1"/>
      <name val="Calibri"/>
      <family val="2"/>
    </font>
    <font>
      <b/>
      <i/>
      <sz val="11"/>
      <color theme="1"/>
      <name val="Times New Roman"/>
      <family val="1"/>
    </font>
    <font>
      <b/>
      <i/>
      <sz val="11"/>
      <color theme="1"/>
      <name val="Calibri"/>
      <family val="2"/>
    </font>
    <font>
      <b/>
      <sz val="11"/>
      <color theme="1"/>
      <name val="Calibri"/>
      <family val="1"/>
    </font>
    <font>
      <sz val="11"/>
      <color theme="1" tint="0.499984740745262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i/>
      <sz val="11"/>
      <color theme="4"/>
      <name val="Calibri"/>
      <family val="2"/>
      <scheme val="minor"/>
    </font>
    <font>
      <sz val="11"/>
      <color rgb="FF92D050"/>
      <name val="Calibri"/>
      <family val="2"/>
      <scheme val="minor"/>
    </font>
    <font>
      <b/>
      <i/>
      <sz val="11"/>
      <color rgb="FF00B050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11"/>
      <color theme="1" tint="0.499984740745262"/>
      <name val="Calibri"/>
      <family val="2"/>
      <scheme val="minor"/>
    </font>
    <font>
      <i/>
      <sz val="11"/>
      <color theme="9" tint="-0.249977111117893"/>
      <name val="Calibri"/>
      <family val="2"/>
      <scheme val="minor"/>
    </font>
    <font>
      <b/>
      <i/>
      <sz val="11"/>
      <color theme="9" tint="-0.249977111117893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1" tint="0.499984740745262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i/>
      <sz val="11"/>
      <color theme="0" tint="-0.34998626667073579"/>
      <name val="Calibri"/>
      <family val="2"/>
      <scheme val="minor"/>
    </font>
    <font>
      <b/>
      <sz val="11"/>
      <color theme="0" tint="-0.34998626667073579"/>
      <name val="Calibri"/>
      <family val="2"/>
      <scheme val="minor"/>
    </font>
    <font>
      <sz val="11"/>
      <color theme="0" tint="-0.49998474074526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0" xfId="0" applyProtection="1">
      <protection locked="0"/>
    </xf>
    <xf numFmtId="0" fontId="1" fillId="0" borderId="0" xfId="0" applyFont="1" applyProtection="1">
      <protection locked="0"/>
    </xf>
    <xf numFmtId="0" fontId="1" fillId="0" borderId="0" xfId="0" applyFont="1" applyProtection="1"/>
    <xf numFmtId="0" fontId="0" fillId="0" borderId="0" xfId="0" applyProtection="1"/>
    <xf numFmtId="164" fontId="0" fillId="0" borderId="0" xfId="0" applyNumberFormat="1" applyProtection="1"/>
    <xf numFmtId="1" fontId="0" fillId="0" borderId="0" xfId="0" applyNumberFormat="1" applyProtection="1"/>
    <xf numFmtId="0" fontId="0" fillId="0" borderId="0" xfId="0" applyAlignment="1" applyProtection="1">
      <alignment horizontal="center"/>
    </xf>
    <xf numFmtId="165" fontId="0" fillId="0" borderId="0" xfId="0" applyNumberFormat="1" applyProtection="1"/>
    <xf numFmtId="0" fontId="16" fillId="0" borderId="0" xfId="0" applyFont="1" applyProtection="1"/>
    <xf numFmtId="0" fontId="15" fillId="0" borderId="0" xfId="0" applyFont="1" applyProtection="1"/>
    <xf numFmtId="0" fontId="2" fillId="0" borderId="0" xfId="0" applyFont="1" applyProtection="1"/>
    <xf numFmtId="0" fontId="3" fillId="0" borderId="0" xfId="0" applyFont="1" applyProtection="1"/>
    <xf numFmtId="0" fontId="5" fillId="0" borderId="0" xfId="0" applyFont="1" applyAlignment="1" applyProtection="1">
      <alignment horizontal="right"/>
    </xf>
    <xf numFmtId="164" fontId="3" fillId="0" borderId="0" xfId="0" applyNumberFormat="1" applyFont="1" applyProtection="1"/>
    <xf numFmtId="1" fontId="3" fillId="0" borderId="0" xfId="0" applyNumberFormat="1" applyFont="1" applyProtection="1"/>
    <xf numFmtId="165" fontId="3" fillId="0" borderId="0" xfId="0" applyNumberFormat="1" applyFont="1" applyAlignment="1" applyProtection="1">
      <alignment horizontal="center" wrapText="1"/>
    </xf>
    <xf numFmtId="165" fontId="3" fillId="0" borderId="0" xfId="0" applyNumberFormat="1" applyFont="1" applyAlignment="1" applyProtection="1">
      <alignment wrapText="1"/>
    </xf>
    <xf numFmtId="165" fontId="3" fillId="0" borderId="0" xfId="0" applyNumberFormat="1" applyFont="1" applyProtection="1"/>
    <xf numFmtId="0" fontId="3" fillId="0" borderId="0" xfId="0" applyFont="1" applyAlignment="1" applyProtection="1">
      <alignment horizontal="center" wrapText="1"/>
    </xf>
    <xf numFmtId="0" fontId="4" fillId="0" borderId="0" xfId="0" applyFont="1" applyProtection="1"/>
    <xf numFmtId="0" fontId="6" fillId="0" borderId="0" xfId="0" applyFont="1" applyAlignment="1" applyProtection="1">
      <alignment horizontal="right"/>
    </xf>
    <xf numFmtId="2" fontId="0" fillId="0" borderId="0" xfId="0" applyNumberFormat="1" applyProtection="1"/>
    <xf numFmtId="165" fontId="1" fillId="0" borderId="0" xfId="0" applyNumberFormat="1" applyFont="1" applyProtection="1"/>
    <xf numFmtId="165" fontId="14" fillId="0" borderId="0" xfId="0" applyNumberFormat="1" applyFont="1" applyAlignment="1" applyProtection="1">
      <alignment horizontal="center"/>
    </xf>
    <xf numFmtId="165" fontId="12" fillId="0" borderId="0" xfId="0" applyNumberFormat="1" applyFont="1" applyProtection="1"/>
    <xf numFmtId="0" fontId="1" fillId="0" borderId="0" xfId="0" applyFont="1" applyAlignment="1" applyProtection="1">
      <alignment horizontal="right"/>
    </xf>
    <xf numFmtId="1" fontId="1" fillId="0" borderId="0" xfId="0" applyNumberFormat="1" applyFont="1" applyProtection="1"/>
    <xf numFmtId="2" fontId="1" fillId="0" borderId="0" xfId="0" applyNumberFormat="1" applyFont="1" applyProtection="1"/>
    <xf numFmtId="165" fontId="11" fillId="0" borderId="0" xfId="0" applyNumberFormat="1" applyFont="1" applyAlignment="1" applyProtection="1">
      <alignment horizontal="right"/>
    </xf>
    <xf numFmtId="165" fontId="3" fillId="0" borderId="0" xfId="0" applyNumberFormat="1" applyFont="1" applyAlignment="1" applyProtection="1">
      <alignment horizontal="right"/>
    </xf>
    <xf numFmtId="165" fontId="13" fillId="0" borderId="0" xfId="0" applyNumberFormat="1" applyFont="1" applyAlignment="1" applyProtection="1">
      <alignment horizontal="right"/>
    </xf>
    <xf numFmtId="0" fontId="3" fillId="0" borderId="0" xfId="0" applyFont="1" applyAlignment="1" applyProtection="1">
      <alignment horizontal="center"/>
    </xf>
    <xf numFmtId="164" fontId="3" fillId="0" borderId="0" xfId="0" applyNumberFormat="1" applyFont="1" applyAlignment="1" applyProtection="1">
      <alignment horizontal="center"/>
    </xf>
    <xf numFmtId="1" fontId="3" fillId="0" borderId="0" xfId="0" applyNumberFormat="1" applyFont="1" applyAlignment="1" applyProtection="1">
      <alignment horizontal="center"/>
    </xf>
    <xf numFmtId="0" fontId="1" fillId="0" borderId="0" xfId="0" applyFont="1" applyAlignment="1" applyProtection="1">
      <alignment horizontal="center"/>
    </xf>
    <xf numFmtId="1" fontId="0" fillId="0" borderId="0" xfId="0" applyNumberFormat="1" applyProtection="1">
      <protection locked="0"/>
    </xf>
    <xf numFmtId="1" fontId="1" fillId="0" borderId="0" xfId="0" applyNumberFormat="1" applyFont="1" applyProtection="1">
      <protection locked="0"/>
    </xf>
    <xf numFmtId="0" fontId="17" fillId="0" borderId="0" xfId="0" applyFont="1" applyProtection="1"/>
    <xf numFmtId="0" fontId="18" fillId="2" borderId="0" xfId="0" applyFont="1" applyFill="1" applyProtection="1"/>
    <xf numFmtId="0" fontId="19" fillId="2" borderId="0" xfId="0" applyFont="1" applyFill="1" applyAlignment="1" applyProtection="1">
      <alignment horizontal="center"/>
    </xf>
    <xf numFmtId="165" fontId="3" fillId="0" borderId="0" xfId="0" applyNumberFormat="1" applyFont="1" applyAlignment="1" applyProtection="1">
      <alignment horizontal="center"/>
    </xf>
    <xf numFmtId="2" fontId="12" fillId="0" borderId="0" xfId="0" applyNumberFormat="1" applyFont="1" applyProtection="1"/>
    <xf numFmtId="2" fontId="11" fillId="0" borderId="0" xfId="0" applyNumberFormat="1" applyFont="1" applyAlignment="1" applyProtection="1">
      <alignment horizontal="right"/>
    </xf>
    <xf numFmtId="2" fontId="20" fillId="0" borderId="0" xfId="0" applyNumberFormat="1" applyFont="1" applyProtection="1"/>
    <xf numFmtId="165" fontId="4" fillId="3" borderId="0" xfId="0" applyNumberFormat="1" applyFont="1" applyFill="1" applyAlignment="1" applyProtection="1"/>
    <xf numFmtId="0" fontId="21" fillId="0" borderId="0" xfId="0" applyFont="1" applyFill="1" applyProtection="1"/>
    <xf numFmtId="0" fontId="22" fillId="0" borderId="0" xfId="0" applyFont="1" applyFill="1" applyProtection="1"/>
    <xf numFmtId="2" fontId="4" fillId="0" borderId="0" xfId="0" applyNumberFormat="1" applyFont="1" applyAlignment="1" applyProtection="1">
      <alignment horizontal="center"/>
    </xf>
    <xf numFmtId="2" fontId="19" fillId="0" borderId="0" xfId="0" applyNumberFormat="1" applyFont="1" applyBorder="1" applyAlignment="1" applyProtection="1">
      <alignment horizontal="left"/>
    </xf>
    <xf numFmtId="2" fontId="19" fillId="0" borderId="1" xfId="0" applyNumberFormat="1" applyFont="1" applyBorder="1" applyAlignment="1" applyProtection="1">
      <alignment horizontal="left"/>
    </xf>
    <xf numFmtId="2" fontId="18" fillId="0" borderId="0" xfId="0" applyNumberFormat="1" applyFont="1" applyBorder="1" applyAlignment="1" applyProtection="1">
      <alignment horizontal="left"/>
    </xf>
    <xf numFmtId="0" fontId="24" fillId="0" borderId="0" xfId="0" applyFont="1" applyAlignment="1" applyProtection="1">
      <alignment horizontal="center"/>
    </xf>
    <xf numFmtId="165" fontId="24" fillId="0" borderId="0" xfId="0" applyNumberFormat="1" applyFont="1" applyAlignment="1" applyProtection="1">
      <alignment horizontal="center" wrapText="1"/>
    </xf>
    <xf numFmtId="165" fontId="24" fillId="0" borderId="0" xfId="0" applyNumberFormat="1" applyFont="1" applyAlignment="1" applyProtection="1">
      <alignment horizontal="center"/>
    </xf>
    <xf numFmtId="1" fontId="24" fillId="0" borderId="0" xfId="0" applyNumberFormat="1" applyFont="1" applyAlignment="1" applyProtection="1">
      <alignment horizontal="center"/>
    </xf>
    <xf numFmtId="164" fontId="24" fillId="0" borderId="0" xfId="0" applyNumberFormat="1" applyFont="1" applyAlignment="1" applyProtection="1">
      <alignment horizontal="center"/>
    </xf>
    <xf numFmtId="0" fontId="24" fillId="0" borderId="0" xfId="0" applyFont="1" applyFill="1" applyAlignment="1" applyProtection="1">
      <alignment horizontal="center"/>
    </xf>
    <xf numFmtId="165" fontId="17" fillId="0" borderId="0" xfId="0" applyNumberFormat="1" applyFont="1" applyProtection="1"/>
    <xf numFmtId="165" fontId="25" fillId="0" borderId="0" xfId="0" applyNumberFormat="1" applyFont="1" applyProtection="1"/>
    <xf numFmtId="0" fontId="23" fillId="0" borderId="0" xfId="0" applyFont="1" applyProtection="1"/>
    <xf numFmtId="0" fontId="17" fillId="0" borderId="0" xfId="0" applyFont="1" applyAlignment="1" applyProtection="1">
      <alignment horizontal="center"/>
    </xf>
    <xf numFmtId="0" fontId="26" fillId="0" borderId="0" xfId="0" applyFont="1" applyProtection="1"/>
    <xf numFmtId="1" fontId="26" fillId="0" borderId="0" xfId="0" applyNumberFormat="1" applyFont="1" applyProtection="1"/>
    <xf numFmtId="0" fontId="26" fillId="0" borderId="0" xfId="0" applyFont="1" applyAlignment="1" applyProtection="1">
      <alignment horizontal="center"/>
    </xf>
    <xf numFmtId="165" fontId="26" fillId="0" borderId="0" xfId="0" applyNumberFormat="1" applyFont="1" applyProtection="1"/>
    <xf numFmtId="0" fontId="27" fillId="0" borderId="0" xfId="0" applyFont="1" applyProtection="1"/>
    <xf numFmtId="165" fontId="28" fillId="0" borderId="0" xfId="0" applyNumberFormat="1" applyFont="1" applyProtection="1"/>
    <xf numFmtId="165" fontId="2" fillId="0" borderId="0" xfId="0" applyNumberFormat="1" applyFont="1" applyProtection="1"/>
    <xf numFmtId="0" fontId="29" fillId="0" borderId="0" xfId="0" applyFo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641444</xdr:colOff>
      <xdr:row>24</xdr:row>
      <xdr:rowOff>68238</xdr:rowOff>
    </xdr:from>
    <xdr:to>
      <xdr:col>11</xdr:col>
      <xdr:colOff>20470</xdr:colOff>
      <xdr:row>28</xdr:row>
      <xdr:rowOff>88712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3594E446-8253-488D-A9B3-6D0FEC4E6A3F}"/>
            </a:ext>
          </a:extLst>
        </xdr:cNvPr>
        <xdr:cNvSpPr txBox="1"/>
      </xdr:nvSpPr>
      <xdr:spPr>
        <a:xfrm>
          <a:off x="641444" y="5390865"/>
          <a:ext cx="6810232" cy="73015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The values provided above are for </a:t>
          </a:r>
          <a:r>
            <a:rPr lang="en-US" sz="1100" b="0" i="1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PLOS ONE </a:t>
          </a:r>
          <a: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(unit 1) and </a:t>
          </a:r>
          <a:r>
            <a:rPr lang="en-US" sz="1100" b="0" i="1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RSC Advances </a:t>
          </a:r>
          <a: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(unit 2)</a:t>
          </a:r>
          <a:b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 Leydesdorff, Bornmann &amp; Adams (in preparation).</a:t>
          </a:r>
          <a:r>
            <a:rPr lang="en-US" i="0"/>
            <a:t> </a:t>
          </a:r>
        </a:p>
        <a:p>
          <a:r>
            <a:rPr lang="en-US" sz="1100" i="0"/>
            <a:t>The user can feed in other values</a:t>
          </a:r>
          <a:r>
            <a:rPr lang="en-US" sz="1100" i="0" baseline="0"/>
            <a:t> into cells B13:B15 and/or C13:C15. </a:t>
          </a:r>
          <a:endParaRPr lang="en-US" sz="1100" i="0"/>
        </a:p>
        <a:p>
          <a:endParaRPr lang="en-US" sz="1100" i="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44"/>
  <sheetViews>
    <sheetView tabSelected="1" topLeftCell="A4" workbookViewId="0">
      <selection activeCell="B11" sqref="B11"/>
    </sheetView>
  </sheetViews>
  <sheetFormatPr defaultColWidth="8.8984375" defaultRowHeight="14" x14ac:dyDescent="0.3"/>
  <cols>
    <col min="1" max="1" width="14.296875" style="4" customWidth="1"/>
    <col min="2" max="3" width="8.8984375" style="4"/>
    <col min="4" max="4" width="12.3984375" style="4" customWidth="1"/>
    <col min="5" max="5" width="7.59765625" style="4" customWidth="1"/>
    <col min="6" max="7" width="8.8984375" style="4"/>
    <col min="8" max="8" width="8.8984375" style="6"/>
    <col min="9" max="9" width="12.8984375" style="4" customWidth="1"/>
    <col min="10" max="10" width="9.3984375" style="4" customWidth="1"/>
    <col min="11" max="11" width="8.296875" style="4" customWidth="1"/>
    <col min="12" max="12" width="13.69921875" style="4" customWidth="1"/>
    <col min="13" max="13" width="6.8984375" style="4" customWidth="1"/>
    <col min="14" max="14" width="8.69921875" style="4" customWidth="1"/>
    <col min="15" max="15" width="10.59765625" style="7" customWidth="1"/>
    <col min="16" max="16" width="8.8984375" style="4" customWidth="1"/>
    <col min="17" max="17" width="8.8984375" style="8" customWidth="1"/>
    <col min="18" max="18" width="10.59765625" style="8" customWidth="1"/>
    <col min="19" max="19" width="10" style="4" bestFit="1" customWidth="1"/>
    <col min="20" max="20" width="11.8984375" style="20" bestFit="1" customWidth="1"/>
    <col min="21" max="16384" width="8.8984375" style="4"/>
  </cols>
  <sheetData>
    <row r="1" spans="1:22" x14ac:dyDescent="0.3">
      <c r="A1" s="3" t="s">
        <v>0</v>
      </c>
      <c r="F1" s="5"/>
      <c r="L1" s="39" t="s">
        <v>1</v>
      </c>
      <c r="M1" s="39"/>
      <c r="N1" s="39" t="s">
        <v>2</v>
      </c>
      <c r="O1" s="40" t="s">
        <v>3</v>
      </c>
    </row>
    <row r="2" spans="1:22" x14ac:dyDescent="0.3">
      <c r="B2" s="9" t="s">
        <v>4</v>
      </c>
      <c r="C2" s="10"/>
      <c r="F2" s="5"/>
      <c r="K2" s="38"/>
      <c r="L2" s="39"/>
      <c r="M2" s="39" t="s">
        <v>5</v>
      </c>
      <c r="N2" s="39">
        <v>16.265999999999998</v>
      </c>
      <c r="O2" s="39">
        <v>3.2909999999999999</v>
      </c>
    </row>
    <row r="3" spans="1:22" x14ac:dyDescent="0.3">
      <c r="B3" s="9"/>
      <c r="C3" s="10"/>
      <c r="F3" s="5"/>
      <c r="L3" s="39"/>
      <c r="M3" s="39" t="s">
        <v>6</v>
      </c>
      <c r="N3" s="39">
        <v>11.345000000000001</v>
      </c>
      <c r="O3" s="39">
        <v>2.5760000000000001</v>
      </c>
    </row>
    <row r="4" spans="1:22" x14ac:dyDescent="0.3">
      <c r="A4" s="11" t="s">
        <v>7</v>
      </c>
      <c r="F4" s="5"/>
      <c r="L4" s="39"/>
      <c r="M4" s="39" t="s">
        <v>8</v>
      </c>
      <c r="N4" s="39">
        <v>7.8150000000000004</v>
      </c>
      <c r="O4" s="39">
        <v>1.96</v>
      </c>
    </row>
    <row r="5" spans="1:22" ht="42.45" x14ac:dyDescent="0.35">
      <c r="A5" s="12" t="s">
        <v>9</v>
      </c>
      <c r="B5" s="12" t="s">
        <v>10</v>
      </c>
      <c r="C5" s="12" t="s">
        <v>11</v>
      </c>
      <c r="D5" s="13" t="s">
        <v>12</v>
      </c>
      <c r="E5" s="12" t="s">
        <v>10</v>
      </c>
      <c r="F5" s="12" t="s">
        <v>11</v>
      </c>
      <c r="G5" s="15" t="s">
        <v>13</v>
      </c>
      <c r="H5" s="12" t="s">
        <v>14</v>
      </c>
      <c r="I5" s="16" t="s">
        <v>15</v>
      </c>
      <c r="J5" s="16"/>
      <c r="K5" s="41" t="s">
        <v>16</v>
      </c>
      <c r="L5" s="16" t="s">
        <v>17</v>
      </c>
      <c r="M5" s="17" t="s">
        <v>18</v>
      </c>
      <c r="N5" s="14" t="s">
        <v>19</v>
      </c>
      <c r="O5" s="12" t="s">
        <v>20</v>
      </c>
      <c r="P5" s="47" t="s">
        <v>21</v>
      </c>
      <c r="Q5" s="46"/>
      <c r="R5" s="19" t="s">
        <v>22</v>
      </c>
      <c r="T5" s="4"/>
    </row>
    <row r="6" spans="1:22" s="38" customFormat="1" ht="13.45" x14ac:dyDescent="0.3">
      <c r="A6" s="52" t="s">
        <v>23</v>
      </c>
      <c r="B6" s="52" t="s">
        <v>24</v>
      </c>
      <c r="C6" s="52" t="s">
        <v>25</v>
      </c>
      <c r="D6" s="52" t="s">
        <v>26</v>
      </c>
      <c r="E6" s="52" t="s">
        <v>27</v>
      </c>
      <c r="F6" s="52" t="s">
        <v>28</v>
      </c>
      <c r="G6" s="55" t="s">
        <v>29</v>
      </c>
      <c r="H6" s="52" t="s">
        <v>30</v>
      </c>
      <c r="I6" s="53" t="s">
        <v>31</v>
      </c>
      <c r="J6" s="53" t="s">
        <v>32</v>
      </c>
      <c r="K6" s="54" t="s">
        <v>33</v>
      </c>
      <c r="L6" s="53" t="s">
        <v>34</v>
      </c>
      <c r="M6" s="53" t="s">
        <v>35</v>
      </c>
      <c r="N6" s="56" t="s">
        <v>36</v>
      </c>
      <c r="O6" s="52" t="s">
        <v>37</v>
      </c>
      <c r="P6" s="57" t="s">
        <v>38</v>
      </c>
      <c r="Q6" s="57" t="s">
        <v>39</v>
      </c>
      <c r="R6" s="61" t="s">
        <v>40</v>
      </c>
    </row>
    <row r="7" spans="1:22" x14ac:dyDescent="0.3">
      <c r="A7" s="20" t="s">
        <v>41</v>
      </c>
      <c r="B7" s="1">
        <v>91</v>
      </c>
      <c r="C7" s="4">
        <f>B$11/100</f>
        <v>300.42</v>
      </c>
      <c r="D7" s="21" t="s">
        <v>42</v>
      </c>
      <c r="E7" s="4">
        <v>91</v>
      </c>
      <c r="F7" s="4">
        <f>B11/100</f>
        <v>300.42</v>
      </c>
      <c r="G7" s="6">
        <f xml:space="preserve"> 100 * E7</f>
        <v>9100</v>
      </c>
      <c r="H7" s="6">
        <f xml:space="preserve"> 100 * F7</f>
        <v>30042</v>
      </c>
      <c r="I7" s="22">
        <f xml:space="preserve"> P31</f>
        <v>6.1007740890156654</v>
      </c>
      <c r="J7" s="51" t="str">
        <f>IF((SQRT(I7^2)&gt;3.291),"p &lt;.001",IF(SQRT(I7^2)&gt;2.576,"p &lt; .01",IF(SQRT(I7^2)&gt;1.96,"p &lt;.05","n.s.")))</f>
        <v>p &lt;.001</v>
      </c>
      <c r="K7" s="42">
        <f xml:space="preserve"> S31</f>
        <v>7498.424594633083</v>
      </c>
      <c r="L7" s="23">
        <f t="shared" ref="L7:M10" si="0" xml:space="preserve"> G7/ E$11</f>
        <v>0.30290926036881699</v>
      </c>
      <c r="M7" s="23">
        <f t="shared" si="0"/>
        <v>0.99999999999999989</v>
      </c>
      <c r="N7" s="5">
        <f xml:space="preserve"> E7/ $E$11</f>
        <v>3.0290926036881699E-3</v>
      </c>
      <c r="O7" s="4">
        <v>0.01</v>
      </c>
      <c r="P7" s="8">
        <f>(N7-O7)/ SQRT(((E7+F7)/(E$11 + F$11)) * (1 - ((E7 + F7)/(E$11 + F$11)) * ((1/E$11) + 1/F$11)))</f>
        <v>-8.636689771094222E-2</v>
      </c>
      <c r="Q7" s="45" t="str">
        <f>IF(SQRT(P7^2)&gt; 3.291,"p&lt;.001",  IF(SQRT(P7^2) &gt; 2.576,"p&lt;.01",IF(SQRT(P7^2)&gt;1.96,"p&lt;.05","n.s.")))</f>
        <v>n.s.</v>
      </c>
      <c r="R7" s="8">
        <f>SQRT((N7 -O7)^2/O7)</f>
        <v>6.9709073963118304E-2</v>
      </c>
      <c r="T7" s="4"/>
    </row>
    <row r="8" spans="1:22" x14ac:dyDescent="0.3">
      <c r="A8" s="20" t="s">
        <v>43</v>
      </c>
      <c r="B8" s="1">
        <v>2545</v>
      </c>
      <c r="C8" s="4">
        <f>B$11/10</f>
        <v>3004.2</v>
      </c>
      <c r="D8" s="21" t="s">
        <v>44</v>
      </c>
      <c r="E8" s="4">
        <f>B8 - B7</f>
        <v>2454</v>
      </c>
      <c r="F8" s="4">
        <f>C8 - C7</f>
        <v>2703.7799999999997</v>
      </c>
      <c r="G8" s="6">
        <f xml:space="preserve"> 10 * E8</f>
        <v>24540</v>
      </c>
      <c r="H8" s="6">
        <f xml:space="preserve"> 10 * F8</f>
        <v>27037.799999999996</v>
      </c>
      <c r="I8" s="22">
        <f xml:space="preserve"> P32</f>
        <v>-0.82144530004342631</v>
      </c>
      <c r="J8" s="49" t="str">
        <f t="shared" ref="J8:J21" si="1">IF((SQRT(I8^2)&gt;3.291),"p &lt;.001",IF(SQRT(I8^2)&gt;2.576,"p &lt; .01",IF(SQRT(I8^2)&gt;1.96,"p &lt;.05","n.s.")))</f>
        <v>n.s.</v>
      </c>
      <c r="K8" s="42">
        <f xml:space="preserve"> S32</f>
        <v>135.94318472986944</v>
      </c>
      <c r="L8" s="23">
        <f t="shared" si="0"/>
        <v>0.81685640103854606</v>
      </c>
      <c r="M8" s="23">
        <f t="shared" si="0"/>
        <v>0.8999999999999998</v>
      </c>
      <c r="N8" s="5">
        <f xml:space="preserve"> E8/ $E$11</f>
        <v>8.1685640103854609E-2</v>
      </c>
      <c r="O8" s="4">
        <v>0.09</v>
      </c>
      <c r="P8" s="8">
        <f>(N8-O8)/ SQRT(((E8+F8)/(E$11 + F$11)) * (1 - ((E8 + F8)/(E$11 + F$11)) * ((1/E$11) + 1/F$11)))</f>
        <v>-2.8377757442850871E-2</v>
      </c>
      <c r="Q8" s="45" t="str">
        <f t="shared" ref="Q8:Q10" si="2">IF(SQRT(P8^2)&gt; 3.291,"p&lt;.001",  IF(SQRT(P8^2) &gt; 2.576,"p&lt;.01",IF(SQRT(P8^2)&gt;1.96,"p&lt;.05","n.s.")))</f>
        <v>n.s.</v>
      </c>
      <c r="R8" s="8">
        <f t="shared" ref="R8:R10" si="3">SQRT((N8 -O8)^2/O8)</f>
        <v>2.7714532987151291E-2</v>
      </c>
      <c r="T8" s="4"/>
    </row>
    <row r="9" spans="1:22" x14ac:dyDescent="0.3">
      <c r="A9" s="20" t="s">
        <v>45</v>
      </c>
      <c r="B9" s="1">
        <v>20141</v>
      </c>
      <c r="C9" s="4">
        <f>B$11 * 0.5</f>
        <v>15021</v>
      </c>
      <c r="D9" s="21" t="s">
        <v>46</v>
      </c>
      <c r="E9" s="4">
        <f xml:space="preserve"> B9 - B8</f>
        <v>17596</v>
      </c>
      <c r="F9" s="4">
        <f xml:space="preserve"> C9 - C8</f>
        <v>12016.8</v>
      </c>
      <c r="G9" s="6">
        <f>2 * E9</f>
        <v>35192</v>
      </c>
      <c r="H9" s="6">
        <f>2 * F9</f>
        <v>24033.599999999999</v>
      </c>
      <c r="I9" s="22">
        <f xml:space="preserve"> P33</f>
        <v>-4.9611573320816049</v>
      </c>
      <c r="J9" s="49" t="str">
        <f t="shared" si="1"/>
        <v>p &lt;.001</v>
      </c>
      <c r="K9" s="42">
        <f xml:space="preserve"> S33</f>
        <v>4958.6806714504319</v>
      </c>
      <c r="L9" s="23">
        <f t="shared" si="0"/>
        <v>1.1714266693296052</v>
      </c>
      <c r="M9" s="23">
        <f t="shared" si="0"/>
        <v>0.79999999999999982</v>
      </c>
      <c r="N9" s="5">
        <f xml:space="preserve"> E9/ $E$11</f>
        <v>0.58571333466480258</v>
      </c>
      <c r="O9" s="4">
        <v>0.4</v>
      </c>
      <c r="P9" s="8">
        <f>(N9-O9)/ SQRT(((E9+F9)/(E$11 + F$11)) * (1 - ((E9 + F9)/(E$11 + F$11)) * ((1/E$11) + 1/F$11)))</f>
        <v>0.26453911432875443</v>
      </c>
      <c r="Q9" s="45" t="str">
        <f t="shared" si="2"/>
        <v>n.s.</v>
      </c>
      <c r="R9" s="8">
        <f t="shared" si="3"/>
        <v>0.29363856470293948</v>
      </c>
      <c r="T9" s="4"/>
    </row>
    <row r="10" spans="1:22" x14ac:dyDescent="0.3">
      <c r="A10" s="20" t="s">
        <v>47</v>
      </c>
      <c r="B10" s="4">
        <f>B11 - B7 - B8 - B9</f>
        <v>7265</v>
      </c>
      <c r="C10" s="4">
        <f>B$11 * 0.5</f>
        <v>15021</v>
      </c>
      <c r="D10" s="21" t="s">
        <v>48</v>
      </c>
      <c r="E10" s="4">
        <f xml:space="preserve">  B11 - E7 - E8 -E9</f>
        <v>9901</v>
      </c>
      <c r="F10" s="4">
        <f xml:space="preserve">  B11 - F7 - F8 -F9</f>
        <v>15021.000000000004</v>
      </c>
      <c r="G10" s="6">
        <f>E10</f>
        <v>9901</v>
      </c>
      <c r="H10" s="6">
        <f>F10</f>
        <v>15021.000000000004</v>
      </c>
      <c r="I10" s="22">
        <f xml:space="preserve"> P34</f>
        <v>1.1840425402179129</v>
      </c>
      <c r="J10" s="50" t="str">
        <f t="shared" si="1"/>
        <v>n.s.</v>
      </c>
      <c r="K10" s="42">
        <f xml:space="preserve"> S34</f>
        <v>282.44556099846398</v>
      </c>
      <c r="L10" s="23">
        <f t="shared" si="0"/>
        <v>0.32957193262765461</v>
      </c>
      <c r="M10" s="23">
        <f t="shared" si="0"/>
        <v>0.50000000000000011</v>
      </c>
      <c r="N10" s="5">
        <f xml:space="preserve"> E10/ $E$11</f>
        <v>0.32957193262765461</v>
      </c>
      <c r="O10" s="4">
        <v>0.5</v>
      </c>
      <c r="P10" s="8">
        <f>(N10-O10)/ SQRT(((E10+F10)/(E$11 + F$11)) * (1 - ((E10 + F10)/(E$11 + F$11)) * ((1/E$11) + 1/F$11)))</f>
        <v>-0.26462756975148299</v>
      </c>
      <c r="Q10" s="45" t="str">
        <f t="shared" si="2"/>
        <v>n.s.</v>
      </c>
      <c r="R10" s="8">
        <f t="shared" si="3"/>
        <v>0.24102168428700643</v>
      </c>
      <c r="T10" s="4"/>
    </row>
    <row r="11" spans="1:22" s="3" customFormat="1" x14ac:dyDescent="0.3">
      <c r="A11" s="12" t="s">
        <v>49</v>
      </c>
      <c r="B11" s="2">
        <v>30042</v>
      </c>
      <c r="C11" s="3">
        <f>SUM(C7:C10)</f>
        <v>33346.619999999995</v>
      </c>
      <c r="D11" s="26"/>
      <c r="E11" s="3">
        <f>SUM(E7:E10)</f>
        <v>30042</v>
      </c>
      <c r="F11" s="3">
        <f>SUM(F7:F10)</f>
        <v>30042.000000000004</v>
      </c>
      <c r="G11" s="27">
        <f t="shared" ref="G11" si="4">SUM(G7:G10)</f>
        <v>78733</v>
      </c>
      <c r="H11" s="27">
        <f t="shared" ref="H11" si="5">SUM(H7:H10)</f>
        <v>96134.399999999994</v>
      </c>
      <c r="J11" s="43" t="s">
        <v>50</v>
      </c>
      <c r="K11" s="44">
        <f xml:space="preserve"> S35</f>
        <v>12875.49401181185</v>
      </c>
      <c r="L11" s="28">
        <f>SUM(L7:L10)</f>
        <v>2.6207642633646229</v>
      </c>
      <c r="M11" s="28">
        <f>SUM(M7:M10)</f>
        <v>3.1999999999999993</v>
      </c>
      <c r="N11" s="5">
        <f xml:space="preserve"> E11/ $E$11</f>
        <v>1</v>
      </c>
      <c r="O11" s="3">
        <f>SUM(O7:O10)</f>
        <v>1</v>
      </c>
      <c r="Q11" s="18"/>
      <c r="R11" s="68">
        <f>SUM(R7:R10)</f>
        <v>0.63208385594021554</v>
      </c>
    </row>
    <row r="12" spans="1:22" x14ac:dyDescent="0.3">
      <c r="F12" s="5"/>
      <c r="G12" s="5"/>
      <c r="H12" s="4"/>
      <c r="J12" s="30" t="s">
        <v>51</v>
      </c>
      <c r="K12" s="31" t="str">
        <f>IF(K11&gt;16.266,"p&lt;.001",IF(K11 &gt; 11.345,"p&lt;.01", IF(K11&gt;7.815,"p&lt;.05","n.s.")))</f>
        <v>p&lt;.001</v>
      </c>
      <c r="O12" s="4"/>
      <c r="P12" s="20"/>
      <c r="Q12" s="4"/>
      <c r="R12" s="4"/>
      <c r="T12" s="4"/>
    </row>
    <row r="13" spans="1:22" x14ac:dyDescent="0.3">
      <c r="F13" s="5"/>
      <c r="G13" s="5"/>
      <c r="H13" s="4"/>
      <c r="J13" s="30" t="s">
        <v>52</v>
      </c>
      <c r="K13" s="31">
        <f xml:space="preserve"> V36</f>
        <v>0.27134856187341805</v>
      </c>
      <c r="O13" s="4"/>
      <c r="P13" s="20"/>
      <c r="Q13" s="4"/>
      <c r="R13" s="4"/>
      <c r="T13" s="4"/>
    </row>
    <row r="14" spans="1:22" x14ac:dyDescent="0.3">
      <c r="F14" s="5"/>
      <c r="G14" s="5"/>
      <c r="H14" s="4"/>
      <c r="I14" s="30"/>
      <c r="J14" s="48"/>
      <c r="K14" s="31"/>
      <c r="O14" s="4"/>
      <c r="P14" s="20"/>
      <c r="Q14" s="4"/>
      <c r="R14" s="4"/>
      <c r="T14" s="4"/>
    </row>
    <row r="15" spans="1:22" x14ac:dyDescent="0.3">
      <c r="A15" s="11" t="s">
        <v>53</v>
      </c>
      <c r="E15" s="6"/>
      <c r="H15" s="4"/>
      <c r="J15" s="48"/>
      <c r="M15" s="8"/>
      <c r="N15" s="8"/>
      <c r="O15" s="4"/>
      <c r="P15" s="20"/>
      <c r="Q15" s="4"/>
      <c r="R15" s="4"/>
      <c r="T15" s="4"/>
    </row>
    <row r="16" spans="1:22" ht="42.45" x14ac:dyDescent="0.35">
      <c r="A16" s="19" t="s">
        <v>54</v>
      </c>
      <c r="B16" s="32" t="s">
        <v>55</v>
      </c>
      <c r="C16" s="32" t="s">
        <v>56</v>
      </c>
      <c r="D16" s="13" t="s">
        <v>12</v>
      </c>
      <c r="E16" s="32" t="s">
        <v>57</v>
      </c>
      <c r="F16" s="32" t="s">
        <v>58</v>
      </c>
      <c r="G16" s="32" t="s">
        <v>59</v>
      </c>
      <c r="H16" s="32" t="s">
        <v>60</v>
      </c>
      <c r="I16" s="16" t="s">
        <v>15</v>
      </c>
      <c r="J16" s="48"/>
      <c r="K16" s="41" t="s">
        <v>16</v>
      </c>
      <c r="L16" s="19" t="s">
        <v>61</v>
      </c>
      <c r="M16" s="19" t="s">
        <v>62</v>
      </c>
      <c r="N16" s="33" t="s">
        <v>63</v>
      </c>
      <c r="O16" s="34" t="s">
        <v>64</v>
      </c>
      <c r="P16" s="19" t="s">
        <v>21</v>
      </c>
      <c r="Q16" s="24"/>
      <c r="R16" s="19" t="s">
        <v>22</v>
      </c>
      <c r="S16" s="16"/>
      <c r="T16" s="8"/>
      <c r="V16" s="20"/>
    </row>
    <row r="17" spans="1:22" s="38" customFormat="1" ht="13.45" x14ac:dyDescent="0.3">
      <c r="A17" s="52" t="s">
        <v>23</v>
      </c>
      <c r="B17" s="52" t="s">
        <v>24</v>
      </c>
      <c r="C17" s="52" t="s">
        <v>25</v>
      </c>
      <c r="D17" s="52" t="s">
        <v>26</v>
      </c>
      <c r="E17" s="52" t="s">
        <v>27</v>
      </c>
      <c r="F17" s="52" t="s">
        <v>28</v>
      </c>
      <c r="G17" s="55" t="s">
        <v>29</v>
      </c>
      <c r="H17" s="52" t="s">
        <v>30</v>
      </c>
      <c r="I17" s="53" t="s">
        <v>31</v>
      </c>
      <c r="J17" s="53" t="s">
        <v>32</v>
      </c>
      <c r="K17" s="54" t="s">
        <v>33</v>
      </c>
      <c r="L17" s="53" t="s">
        <v>34</v>
      </c>
      <c r="M17" s="53" t="s">
        <v>35</v>
      </c>
      <c r="N17" s="56" t="s">
        <v>36</v>
      </c>
      <c r="O17" s="52" t="s">
        <v>37</v>
      </c>
      <c r="P17" s="57" t="s">
        <v>38</v>
      </c>
      <c r="Q17" s="57" t="s">
        <v>39</v>
      </c>
      <c r="R17" s="61" t="s">
        <v>40</v>
      </c>
      <c r="S17" s="58"/>
      <c r="T17" s="59"/>
      <c r="V17" s="60"/>
    </row>
    <row r="18" spans="1:22" x14ac:dyDescent="0.3">
      <c r="A18" s="20" t="s">
        <v>41</v>
      </c>
      <c r="B18" s="1">
        <v>91</v>
      </c>
      <c r="C18" s="36">
        <v>30</v>
      </c>
      <c r="D18" s="21" t="s">
        <v>42</v>
      </c>
      <c r="E18" s="4">
        <f xml:space="preserve"> B18</f>
        <v>91</v>
      </c>
      <c r="F18" s="4">
        <f xml:space="preserve"> C18</f>
        <v>30</v>
      </c>
      <c r="G18" s="6">
        <f xml:space="preserve"> 100 * E18</f>
        <v>9100</v>
      </c>
      <c r="H18" s="6">
        <f xml:space="preserve"> 100 * F18</f>
        <v>3000</v>
      </c>
      <c r="I18" s="8">
        <f xml:space="preserve"> P39</f>
        <v>1.196109449578926</v>
      </c>
      <c r="J18" s="49" t="str">
        <f t="shared" si="1"/>
        <v>n.s.</v>
      </c>
      <c r="K18" s="25">
        <f>S39</f>
        <v>9.4931421800978075</v>
      </c>
      <c r="L18" s="8">
        <f t="shared" ref="L18:M22" si="6">G18/E$22</f>
        <v>0.30290926036881699</v>
      </c>
      <c r="M18" s="8">
        <f t="shared" si="6"/>
        <v>0.35566093657379966</v>
      </c>
      <c r="N18" s="8">
        <f t="shared" ref="N18:O21" si="7" xml:space="preserve"> E18/ E$22</f>
        <v>3.0290926036881699E-3</v>
      </c>
      <c r="O18" s="8">
        <f t="shared" si="7"/>
        <v>3.5566093657379964E-3</v>
      </c>
      <c r="P18" s="8">
        <f xml:space="preserve"> (O18-N18) / SQRT((E18 + F18)/(E$22 + F$22) * (1 - (E18 + F18)/(E$22 + F$22)) * ((1/E$22+ + (1/F$22))))</f>
        <v>0.76460034553335909</v>
      </c>
      <c r="Q18" s="24" t="str">
        <f t="shared" ref="Q18:Q21" si="8">IF(SQRT(P18^2)&gt; 3.291,"p&lt;.001",  IF(SQRT(P18^2) &gt; 2.576,"p&lt;.01",IF(SQRT(P18^2)&gt;1.96,"p&lt;.05","n.s.")))</f>
        <v>n.s.</v>
      </c>
      <c r="R18" s="58">
        <f t="shared" ref="R18:R21" si="9">SQRT((N18 -O18)^2/O18)</f>
        <v>8.8454143210747009E-3</v>
      </c>
      <c r="S18" s="8"/>
      <c r="T18" s="25"/>
      <c r="V18" s="20"/>
    </row>
    <row r="19" spans="1:22" x14ac:dyDescent="0.3">
      <c r="A19" s="20" t="s">
        <v>43</v>
      </c>
      <c r="B19" s="1">
        <v>2545</v>
      </c>
      <c r="C19" s="36">
        <v>909</v>
      </c>
      <c r="D19" s="21" t="s">
        <v>44</v>
      </c>
      <c r="E19" s="4">
        <f>B19 - B18</f>
        <v>2454</v>
      </c>
      <c r="F19" s="4">
        <f>C19 - C18</f>
        <v>879</v>
      </c>
      <c r="G19" s="6">
        <f>10 * E19</f>
        <v>24540</v>
      </c>
      <c r="H19" s="6">
        <f>10 * F19</f>
        <v>8790</v>
      </c>
      <c r="I19" s="8">
        <f t="shared" ref="I19:I21" si="10" xml:space="preserve"> P40</f>
        <v>4.6209245197561941</v>
      </c>
      <c r="J19" s="49" t="str">
        <f t="shared" si="1"/>
        <v>p &lt;.001</v>
      </c>
      <c r="K19" s="25">
        <f t="shared" ref="K19:K21" si="11">S40</f>
        <v>141.68565811663967</v>
      </c>
      <c r="L19" s="8">
        <f t="shared" si="6"/>
        <v>0.81685640103854606</v>
      </c>
      <c r="M19" s="8">
        <f t="shared" si="6"/>
        <v>1.042086544161233</v>
      </c>
      <c r="N19" s="8">
        <f t="shared" si="7"/>
        <v>8.1685640103854609E-2</v>
      </c>
      <c r="O19" s="8">
        <f t="shared" si="7"/>
        <v>0.1042086544161233</v>
      </c>
      <c r="P19" s="8">
        <f xml:space="preserve"> (O19-N19) / SQRT((E19 + F19)/(E$22 + F$22) * (1 - (E19 + F19)/(E$22 + F$22)) * ((1/E$22+ + (1/F$22))))</f>
        <v>6.4981663795850846</v>
      </c>
      <c r="Q19" s="24" t="str">
        <f t="shared" si="8"/>
        <v>p&lt;.001</v>
      </c>
      <c r="R19" s="58">
        <f t="shared" si="9"/>
        <v>6.9770947166733654E-2</v>
      </c>
      <c r="S19" s="8"/>
      <c r="T19" s="25"/>
      <c r="V19" s="20"/>
    </row>
    <row r="20" spans="1:22" x14ac:dyDescent="0.3">
      <c r="A20" s="20" t="s">
        <v>45</v>
      </c>
      <c r="B20" s="1">
        <v>20141</v>
      </c>
      <c r="C20" s="36">
        <v>5919</v>
      </c>
      <c r="D20" s="21" t="s">
        <v>46</v>
      </c>
      <c r="E20" s="4">
        <f xml:space="preserve"> B20 - B19</f>
        <v>17596</v>
      </c>
      <c r="F20" s="4">
        <f xml:space="preserve"> C20 - C19</f>
        <v>5010</v>
      </c>
      <c r="G20" s="6">
        <f xml:space="preserve"> 2 * E20</f>
        <v>35192</v>
      </c>
      <c r="H20" s="6">
        <f xml:space="preserve"> 2 * F20</f>
        <v>10020</v>
      </c>
      <c r="I20" s="8">
        <f t="shared" si="10"/>
        <v>-2.802457393856101</v>
      </c>
      <c r="J20" s="49" t="str">
        <f t="shared" si="1"/>
        <v>p &lt; .01</v>
      </c>
      <c r="K20" s="25">
        <f t="shared" si="11"/>
        <v>52.113012585942627</v>
      </c>
      <c r="L20" s="8">
        <f t="shared" si="6"/>
        <v>1.1714266693296052</v>
      </c>
      <c r="M20" s="8">
        <f t="shared" si="6"/>
        <v>1.1879075281564908</v>
      </c>
      <c r="N20" s="8">
        <f t="shared" si="7"/>
        <v>0.58571333466480258</v>
      </c>
      <c r="O20" s="8">
        <f t="shared" si="7"/>
        <v>0.59395376407824541</v>
      </c>
      <c r="P20" s="8">
        <f xml:space="preserve"> (O20-N20) / SQRT((E20 + F20)/(E$22 + F$22) * (1 - (E20 + F20)/(E$22 + F$22)) * ((1/E$22+ + (1/F$22))))</f>
        <v>1.358449199435027</v>
      </c>
      <c r="Q20" s="24" t="str">
        <f t="shared" si="8"/>
        <v>n.s.</v>
      </c>
      <c r="R20" s="58">
        <f t="shared" si="9"/>
        <v>1.0692358808363131E-2</v>
      </c>
      <c r="S20" s="8"/>
      <c r="T20" s="25"/>
      <c r="V20" s="20"/>
    </row>
    <row r="21" spans="1:22" s="3" customFormat="1" x14ac:dyDescent="0.3">
      <c r="A21" s="20" t="s">
        <v>47</v>
      </c>
      <c r="B21" s="4">
        <f xml:space="preserve"> B22 - B18 - B19 - B20</f>
        <v>7265</v>
      </c>
      <c r="C21" s="6">
        <f xml:space="preserve"> C22 - C18 - C19 - C20</f>
        <v>1577</v>
      </c>
      <c r="D21" s="21" t="s">
        <v>48</v>
      </c>
      <c r="E21" s="4">
        <f xml:space="preserve">  B22 - E18 - E19 -E20</f>
        <v>9901</v>
      </c>
      <c r="F21" s="4">
        <f xml:space="preserve">  C22 - F18 - F19 -F20</f>
        <v>2516</v>
      </c>
      <c r="G21" s="6">
        <f xml:space="preserve"> E21</f>
        <v>9901</v>
      </c>
      <c r="H21" s="6">
        <f xml:space="preserve"> F21</f>
        <v>2516</v>
      </c>
      <c r="I21" s="8">
        <f t="shared" si="10"/>
        <v>-3.4038971946525978</v>
      </c>
      <c r="J21" s="50" t="str">
        <f t="shared" si="1"/>
        <v>p &lt;.001</v>
      </c>
      <c r="K21" s="25">
        <f t="shared" si="11"/>
        <v>76.881352069030527</v>
      </c>
      <c r="L21" s="8">
        <f t="shared" si="6"/>
        <v>0.32957193262765461</v>
      </c>
      <c r="M21" s="8">
        <f t="shared" si="6"/>
        <v>0.2982809721398933</v>
      </c>
      <c r="N21" s="8">
        <f t="shared" si="7"/>
        <v>0.32957193262765461</v>
      </c>
      <c r="O21" s="8">
        <f t="shared" si="7"/>
        <v>0.2982809721398933</v>
      </c>
      <c r="P21" s="8">
        <f xml:space="preserve"> (O21-N21) / SQRT((E21 + F21)/(E$22 + F$22) * (1 - (E21 + F21)/(E$22 + F$22)) * ((1/E$22+ + (1/F$22))))</f>
        <v>-5.4316392000232057</v>
      </c>
      <c r="Q21" s="24" t="str">
        <f t="shared" si="8"/>
        <v>p&lt;.001</v>
      </c>
      <c r="R21" s="58">
        <f t="shared" si="9"/>
        <v>5.7293601000845115E-2</v>
      </c>
      <c r="S21" s="29"/>
      <c r="T21" s="23"/>
      <c r="V21" s="12"/>
    </row>
    <row r="22" spans="1:22" x14ac:dyDescent="0.3">
      <c r="A22" s="12" t="s">
        <v>49</v>
      </c>
      <c r="B22" s="2">
        <v>30042</v>
      </c>
      <c r="C22" s="37">
        <v>8435</v>
      </c>
      <c r="D22" s="26"/>
      <c r="E22" s="3">
        <f>SUM(E18:E21)</f>
        <v>30042</v>
      </c>
      <c r="F22" s="3">
        <f>SUM(F18:F21)</f>
        <v>8435</v>
      </c>
      <c r="G22" s="27">
        <f t="shared" ref="G22" si="12">SUM(G18:G21)</f>
        <v>78733</v>
      </c>
      <c r="H22" s="27">
        <f t="shared" ref="H22" si="13">SUM(H18:H21)</f>
        <v>24326</v>
      </c>
      <c r="I22" s="29"/>
      <c r="J22" s="43" t="s">
        <v>50</v>
      </c>
      <c r="K22" s="23">
        <f xml:space="preserve"> SUM(K18:K21)</f>
        <v>280.17316495171065</v>
      </c>
      <c r="L22" s="8">
        <f t="shared" si="6"/>
        <v>2.6207642633646229</v>
      </c>
      <c r="M22" s="8">
        <f t="shared" si="6"/>
        <v>2.8839359810314167</v>
      </c>
      <c r="N22" s="23">
        <f xml:space="preserve"> L22/ L$22</f>
        <v>1</v>
      </c>
      <c r="O22" s="23">
        <f xml:space="preserve"> M22/ M$22</f>
        <v>1</v>
      </c>
      <c r="P22" s="3"/>
      <c r="Q22" s="35"/>
      <c r="R22" s="68">
        <f>SUM(R18:R21)</f>
        <v>0.14660232129701661</v>
      </c>
      <c r="S22" s="30"/>
      <c r="T22" s="31"/>
      <c r="V22" s="20"/>
    </row>
    <row r="23" spans="1:22" x14ac:dyDescent="0.3">
      <c r="H23" s="4"/>
      <c r="I23" s="30"/>
      <c r="J23" s="30" t="s">
        <v>51</v>
      </c>
      <c r="K23" s="31" t="str">
        <f>IF(K22&gt;16.266,"p&lt;.001",IF(K22 &gt; 11.345,"p&lt;.01", IF(K22&gt;7.815,"p&lt;.05","n.s.")))</f>
        <v>p&lt;.001</v>
      </c>
      <c r="N23" s="7"/>
      <c r="O23" s="4"/>
      <c r="P23" s="7"/>
      <c r="Q23" s="4"/>
      <c r="R23" s="4"/>
      <c r="T23" s="4"/>
    </row>
    <row r="24" spans="1:22" x14ac:dyDescent="0.3">
      <c r="J24" s="30" t="s">
        <v>52</v>
      </c>
      <c r="K24" s="31">
        <f xml:space="preserve"> V44</f>
        <v>5.2139913459932213E-2</v>
      </c>
    </row>
    <row r="29" spans="1:22" x14ac:dyDescent="0.3">
      <c r="A29" s="62"/>
      <c r="B29" s="62"/>
      <c r="C29" s="62"/>
      <c r="D29" s="62"/>
      <c r="E29" s="62"/>
      <c r="F29" s="62"/>
      <c r="G29" s="62"/>
      <c r="H29" s="63"/>
      <c r="I29" s="62"/>
      <c r="J29" s="62"/>
      <c r="K29" s="62"/>
      <c r="L29" s="62"/>
      <c r="M29" s="62"/>
      <c r="N29" s="62"/>
      <c r="O29" s="64"/>
      <c r="P29" s="62"/>
      <c r="Q29" s="65"/>
      <c r="R29" s="65"/>
      <c r="S29" s="67"/>
      <c r="T29" s="66"/>
      <c r="U29" s="62"/>
      <c r="V29" s="62"/>
    </row>
    <row r="30" spans="1:22" x14ac:dyDescent="0.3">
      <c r="A30" s="62" t="s">
        <v>65</v>
      </c>
      <c r="B30" s="62"/>
      <c r="C30" s="62"/>
      <c r="D30" s="62"/>
      <c r="E30" s="62"/>
      <c r="F30" s="62"/>
      <c r="G30" s="62"/>
      <c r="H30" s="63"/>
      <c r="I30" s="62"/>
      <c r="J30" s="62"/>
      <c r="K30" s="62"/>
      <c r="L30" s="62"/>
      <c r="M30" s="62" t="s">
        <v>66</v>
      </c>
      <c r="N30" s="62"/>
      <c r="O30" s="64"/>
      <c r="P30" s="62"/>
      <c r="Q30" s="65" t="s">
        <v>67</v>
      </c>
      <c r="R30" s="65"/>
      <c r="S30" s="62"/>
      <c r="T30" s="62"/>
      <c r="U30" s="62"/>
      <c r="V30" s="62"/>
    </row>
    <row r="31" spans="1:22" x14ac:dyDescent="0.3">
      <c r="A31" s="62"/>
      <c r="B31" s="63">
        <f t="shared" ref="B31:C35" si="14">G7</f>
        <v>9100</v>
      </c>
      <c r="C31" s="63">
        <f t="shared" si="14"/>
        <v>30042</v>
      </c>
      <c r="D31" s="62">
        <f>SUM(B31:C31)</f>
        <v>39142</v>
      </c>
      <c r="E31" s="62"/>
      <c r="F31" s="62" t="s">
        <v>68</v>
      </c>
      <c r="G31" s="62">
        <f>D31 * B$35/ D$35</f>
        <v>17623.451175004604</v>
      </c>
      <c r="H31" s="62">
        <f>D31 * C$35/ D$35</f>
        <v>21518.548824995396</v>
      </c>
      <c r="I31" s="62" t="s">
        <v>69</v>
      </c>
      <c r="J31" s="62">
        <f xml:space="preserve"> G31 - B31</f>
        <v>8523.451175004604</v>
      </c>
      <c r="K31" s="62">
        <f xml:space="preserve"> H31 - C31</f>
        <v>-8523.451175004604</v>
      </c>
      <c r="L31" s="62"/>
      <c r="M31" s="62"/>
      <c r="N31" s="62">
        <f xml:space="preserve"> J31/SQRT(G31)</f>
        <v>64.205169655479807</v>
      </c>
      <c r="O31" s="62">
        <f xml:space="preserve"> K31/SQRT(H31)</f>
        <v>-58.104395566464142</v>
      </c>
      <c r="P31" s="62">
        <f>SUM(N31:O31)</f>
        <v>6.1007740890156654</v>
      </c>
      <c r="Q31" s="65">
        <f t="shared" ref="Q31:R34" si="15" xml:space="preserve"> N31^2</f>
        <v>4122.3038104889447</v>
      </c>
      <c r="R31" s="65">
        <f t="shared" si="15"/>
        <v>3376.1207841441378</v>
      </c>
      <c r="S31" s="65">
        <f>SUM(Q31:R31)</f>
        <v>7498.424594633083</v>
      </c>
      <c r="T31" s="62"/>
      <c r="U31" s="62"/>
      <c r="V31" s="62"/>
    </row>
    <row r="32" spans="1:22" x14ac:dyDescent="0.3">
      <c r="A32" s="62"/>
      <c r="B32" s="63">
        <f t="shared" si="14"/>
        <v>24540</v>
      </c>
      <c r="C32" s="63">
        <f t="shared" si="14"/>
        <v>27037.799999999996</v>
      </c>
      <c r="D32" s="62">
        <f t="shared" ref="D32:D35" si="16">SUM(B32:C32)</f>
        <v>51577.799999999996</v>
      </c>
      <c r="E32" s="62"/>
      <c r="F32" s="62"/>
      <c r="G32" s="62">
        <f>D32 * B$35/ D$35</f>
        <v>23222.595677639169</v>
      </c>
      <c r="H32" s="62">
        <f>D32 * C$35/ D$35</f>
        <v>28355.204322360827</v>
      </c>
      <c r="I32" s="62"/>
      <c r="J32" s="62">
        <f t="shared" ref="J32:J34" si="17" xml:space="preserve"> G32 - B32</f>
        <v>-1317.4043223608314</v>
      </c>
      <c r="K32" s="62">
        <f t="shared" ref="K32:K34" si="18" xml:space="preserve"> H32 - C32</f>
        <v>1317.4043223608314</v>
      </c>
      <c r="L32" s="62"/>
      <c r="M32" s="62"/>
      <c r="N32" s="62">
        <f t="shared" ref="N32:N34" si="19" xml:space="preserve"> J32/SQRT(G32)</f>
        <v>-8.644974241374376</v>
      </c>
      <c r="O32" s="62">
        <f t="shared" ref="O32:O34" si="20" xml:space="preserve"> K32/SQRT(H32)</f>
        <v>7.8235289413309497</v>
      </c>
      <c r="P32" s="62">
        <f t="shared" ref="P32:P34" si="21">SUM(N32:O32)</f>
        <v>-0.82144530004342631</v>
      </c>
      <c r="Q32" s="65">
        <f t="shared" si="15"/>
        <v>74.735579634026465</v>
      </c>
      <c r="R32" s="65">
        <f t="shared" si="15"/>
        <v>61.207605095842972</v>
      </c>
      <c r="S32" s="65">
        <f t="shared" ref="S32:S34" si="22">SUM(Q32:R32)</f>
        <v>135.94318472986944</v>
      </c>
      <c r="T32" s="62"/>
      <c r="U32" s="62"/>
      <c r="V32" s="62"/>
    </row>
    <row r="33" spans="1:22" x14ac:dyDescent="0.3">
      <c r="A33" s="62"/>
      <c r="B33" s="63">
        <f t="shared" si="14"/>
        <v>35192</v>
      </c>
      <c r="C33" s="63">
        <f t="shared" si="14"/>
        <v>24033.599999999999</v>
      </c>
      <c r="D33" s="62">
        <f t="shared" si="16"/>
        <v>59225.599999999999</v>
      </c>
      <c r="E33" s="62"/>
      <c r="F33" s="62"/>
      <c r="G33" s="62">
        <f>D33 * B$35/ D$35</f>
        <v>26665.971843808511</v>
      </c>
      <c r="H33" s="62">
        <f>D33 * C$35/ D$35</f>
        <v>32559.628156191488</v>
      </c>
      <c r="I33" s="62"/>
      <c r="J33" s="62">
        <f t="shared" si="17"/>
        <v>-8526.028156191489</v>
      </c>
      <c r="K33" s="62">
        <f t="shared" si="18"/>
        <v>8526.028156191489</v>
      </c>
      <c r="L33" s="62"/>
      <c r="M33" s="62"/>
      <c r="N33" s="62">
        <f t="shared" si="19"/>
        <v>-52.211726503254447</v>
      </c>
      <c r="O33" s="62">
        <f t="shared" si="20"/>
        <v>47.250569171172842</v>
      </c>
      <c r="P33" s="62">
        <f t="shared" si="21"/>
        <v>-4.9611573320816049</v>
      </c>
      <c r="Q33" s="65">
        <f t="shared" si="15"/>
        <v>2726.0643844506426</v>
      </c>
      <c r="R33" s="65">
        <f t="shared" si="15"/>
        <v>2232.6162869997893</v>
      </c>
      <c r="S33" s="65">
        <f t="shared" si="22"/>
        <v>4958.6806714504319</v>
      </c>
      <c r="T33" s="62"/>
      <c r="U33" s="62"/>
      <c r="V33" s="62"/>
    </row>
    <row r="34" spans="1:22" x14ac:dyDescent="0.3">
      <c r="A34" s="62"/>
      <c r="B34" s="63">
        <f t="shared" si="14"/>
        <v>9901</v>
      </c>
      <c r="C34" s="63">
        <f t="shared" si="14"/>
        <v>15021.000000000004</v>
      </c>
      <c r="D34" s="62">
        <f t="shared" si="16"/>
        <v>24922.000000000004</v>
      </c>
      <c r="E34" s="62"/>
      <c r="F34" s="62"/>
      <c r="G34" s="62">
        <f>D34 * B$35/ D$35</f>
        <v>11220.981303547718</v>
      </c>
      <c r="H34" s="62">
        <f>D34 * C$35/ D$35</f>
        <v>13701.018696452285</v>
      </c>
      <c r="I34" s="62"/>
      <c r="J34" s="62">
        <f t="shared" si="17"/>
        <v>1319.9813035477182</v>
      </c>
      <c r="K34" s="62">
        <f t="shared" si="18"/>
        <v>-1319.9813035477182</v>
      </c>
      <c r="L34" s="62"/>
      <c r="M34" s="62"/>
      <c r="N34" s="62">
        <f t="shared" si="19"/>
        <v>12.460984633224143</v>
      </c>
      <c r="O34" s="62">
        <f t="shared" si="20"/>
        <v>-11.27694209300623</v>
      </c>
      <c r="P34" s="62">
        <f t="shared" si="21"/>
        <v>1.1840425402179129</v>
      </c>
      <c r="Q34" s="65">
        <f t="shared" si="15"/>
        <v>155.27613802944825</v>
      </c>
      <c r="R34" s="65">
        <f t="shared" si="15"/>
        <v>127.16942296901574</v>
      </c>
      <c r="S34" s="65">
        <f t="shared" si="22"/>
        <v>282.44556099846398</v>
      </c>
      <c r="T34" s="62"/>
      <c r="U34" s="62"/>
      <c r="V34" s="62"/>
    </row>
    <row r="35" spans="1:22" x14ac:dyDescent="0.3">
      <c r="A35" s="62"/>
      <c r="B35" s="63">
        <f t="shared" si="14"/>
        <v>78733</v>
      </c>
      <c r="C35" s="63">
        <f t="shared" si="14"/>
        <v>96134.399999999994</v>
      </c>
      <c r="D35" s="62">
        <f t="shared" si="16"/>
        <v>174867.4</v>
      </c>
      <c r="E35" s="62"/>
      <c r="F35" s="62"/>
      <c r="G35" s="62"/>
      <c r="H35" s="63"/>
      <c r="I35" s="62"/>
      <c r="J35" s="62"/>
      <c r="K35" s="62"/>
      <c r="L35" s="62"/>
      <c r="M35" s="62"/>
      <c r="N35" s="62"/>
      <c r="O35" s="64"/>
      <c r="P35" s="62"/>
      <c r="Q35" s="65"/>
      <c r="R35" s="65"/>
      <c r="S35" s="67">
        <f>SUM(Q31:R34)</f>
        <v>12875.49401181185</v>
      </c>
      <c r="T35" s="62"/>
      <c r="U35" s="62"/>
      <c r="V35" s="62"/>
    </row>
    <row r="36" spans="1:22" x14ac:dyDescent="0.3">
      <c r="A36" s="62"/>
      <c r="B36" s="62"/>
      <c r="C36" s="62"/>
      <c r="D36" s="62"/>
      <c r="E36" s="62"/>
      <c r="F36" s="62"/>
      <c r="G36" s="62"/>
      <c r="H36" s="63"/>
      <c r="I36" s="62"/>
      <c r="J36" s="62"/>
      <c r="K36" s="62"/>
      <c r="L36" s="62"/>
      <c r="M36" s="62"/>
      <c r="N36" s="62"/>
      <c r="O36" s="64"/>
      <c r="P36" s="62"/>
      <c r="Q36" s="65"/>
      <c r="R36" s="65"/>
      <c r="S36" s="67"/>
      <c r="T36" s="62"/>
      <c r="U36" s="62" t="s">
        <v>52</v>
      </c>
      <c r="V36" s="62">
        <f>SQRT(S35/D35)</f>
        <v>0.27134856187341805</v>
      </c>
    </row>
    <row r="37" spans="1:22" x14ac:dyDescent="0.3">
      <c r="A37" s="62"/>
      <c r="B37" s="62"/>
      <c r="C37" s="62"/>
      <c r="D37" s="62"/>
      <c r="E37" s="62"/>
      <c r="F37" s="62"/>
      <c r="G37" s="62"/>
      <c r="H37" s="63"/>
      <c r="I37" s="62"/>
      <c r="J37" s="62"/>
      <c r="K37" s="62"/>
      <c r="L37" s="62"/>
      <c r="M37" s="62"/>
      <c r="N37" s="62"/>
      <c r="O37" s="64"/>
      <c r="P37" s="62"/>
      <c r="Q37" s="65"/>
      <c r="R37" s="65"/>
      <c r="S37" s="62"/>
      <c r="T37" s="66"/>
      <c r="U37" s="62"/>
      <c r="V37" s="62"/>
    </row>
    <row r="38" spans="1:22" x14ac:dyDescent="0.3">
      <c r="A38" s="62" t="s">
        <v>70</v>
      </c>
      <c r="B38" s="62"/>
      <c r="C38" s="62"/>
      <c r="D38" s="62"/>
      <c r="E38" s="62"/>
      <c r="F38" s="62"/>
      <c r="G38" s="62"/>
      <c r="H38" s="63"/>
      <c r="I38" s="62"/>
      <c r="J38" s="62"/>
      <c r="K38" s="62"/>
      <c r="L38" s="62"/>
      <c r="M38" s="62"/>
      <c r="N38" s="62"/>
      <c r="O38" s="64"/>
      <c r="P38" s="62"/>
      <c r="Q38" s="65" t="s">
        <v>67</v>
      </c>
      <c r="R38" s="65"/>
      <c r="S38" s="65"/>
      <c r="T38" s="66" t="s">
        <v>71</v>
      </c>
      <c r="U38" s="62"/>
      <c r="V38" s="62">
        <f>SQRT(SUM(T39:U39))</f>
        <v>1.0980613181951546E-2</v>
      </c>
    </row>
    <row r="39" spans="1:22" x14ac:dyDescent="0.3">
      <c r="A39" s="62"/>
      <c r="B39" s="69">
        <v>9100</v>
      </c>
      <c r="C39" s="69">
        <v>3000</v>
      </c>
      <c r="D39" s="62">
        <f>SUM(B39:C39)</f>
        <v>12100</v>
      </c>
      <c r="E39" s="62"/>
      <c r="F39" s="62" t="s">
        <v>68</v>
      </c>
      <c r="G39" s="62">
        <f xml:space="preserve"> $D39 * B$43/$D$43</f>
        <v>9243.92144305689</v>
      </c>
      <c r="H39" s="62">
        <f xml:space="preserve"> $D39 * C$43/$D$43</f>
        <v>2856.0785569431105</v>
      </c>
      <c r="I39" s="62" t="s">
        <v>69</v>
      </c>
      <c r="J39" s="62">
        <f>B39-G39</f>
        <v>-143.92144305688998</v>
      </c>
      <c r="K39" s="62">
        <f>C39-H39</f>
        <v>143.92144305688953</v>
      </c>
      <c r="L39" s="62" t="s">
        <v>66</v>
      </c>
      <c r="M39" s="62"/>
      <c r="N39" s="62">
        <f xml:space="preserve"> J39/ SQRT(G39)</f>
        <v>-1.4969158325706884</v>
      </c>
      <c r="O39" s="62">
        <f xml:space="preserve"> K39/ SQRT(H39)</f>
        <v>2.6930252821496143</v>
      </c>
      <c r="P39" s="62">
        <f t="shared" ref="P39:P42" si="23">SUM(N39:O39)</f>
        <v>1.196109449578926</v>
      </c>
      <c r="Q39" s="65">
        <f>N39^2</f>
        <v>2.2407570098007974</v>
      </c>
      <c r="R39" s="65">
        <f>O39^2</f>
        <v>7.2523851702970097</v>
      </c>
      <c r="S39" s="65">
        <f t="shared" ref="S39:S42" si="24">SUM(Q39:R39)</f>
        <v>9.4931421800978075</v>
      </c>
      <c r="T39" s="66">
        <f t="shared" ref="T39:U42" si="25" xml:space="preserve"> (J39/$B$43)^2 /(G39/$B$43)</f>
        <v>2.8460201056746181E-5</v>
      </c>
      <c r="U39" s="66">
        <f t="shared" si="25"/>
        <v>9.2113664794901885E-5</v>
      </c>
      <c r="V39" s="62">
        <f>SQRT(SUM(T40:U40))</f>
        <v>4.2421355932185156E-2</v>
      </c>
    </row>
    <row r="40" spans="1:22" x14ac:dyDescent="0.3">
      <c r="A40" s="62"/>
      <c r="B40" s="69">
        <v>24540</v>
      </c>
      <c r="C40" s="69">
        <v>8790</v>
      </c>
      <c r="D40" s="62">
        <f t="shared" ref="D40:D42" si="26">SUM(B40:C40)</f>
        <v>33330</v>
      </c>
      <c r="E40" s="62"/>
      <c r="F40" s="62"/>
      <c r="G40" s="62">
        <f t="shared" ref="G40:G42" si="27" xml:space="preserve"> $D40 * B$43/$D$43</f>
        <v>25462.801793147613</v>
      </c>
      <c r="H40" s="62">
        <f t="shared" ref="H40:H42" si="28" xml:space="preserve"> $D40 * C$43/$D$43</f>
        <v>7867.1982068523857</v>
      </c>
      <c r="I40" s="62"/>
      <c r="J40" s="62">
        <f t="shared" ref="J40:J42" si="29">B40-G40</f>
        <v>-922.80179314761335</v>
      </c>
      <c r="K40" s="62">
        <f t="shared" ref="K40:K42" si="30">C40-H40</f>
        <v>922.80179314761426</v>
      </c>
      <c r="L40" s="62"/>
      <c r="M40" s="62"/>
      <c r="N40" s="62">
        <f t="shared" ref="N40:N42" si="31" xml:space="preserve"> J40/ SQRT(G40)</f>
        <v>-5.7830285323572799</v>
      </c>
      <c r="O40" s="62">
        <f t="shared" ref="O40:O42" si="32" xml:space="preserve"> K40/ SQRT(H40)</f>
        <v>10.403953052113474</v>
      </c>
      <c r="P40" s="62">
        <f t="shared" si="23"/>
        <v>4.6209245197561941</v>
      </c>
      <c r="Q40" s="65">
        <f t="shared" ref="Q40:Q42" si="33">N40^2</f>
        <v>33.443419006058392</v>
      </c>
      <c r="R40" s="65">
        <f t="shared" ref="R40:R42" si="34">O40^2</f>
        <v>108.24223911058127</v>
      </c>
      <c r="S40" s="65">
        <f t="shared" si="24"/>
        <v>141.68565811663967</v>
      </c>
      <c r="T40" s="66">
        <f t="shared" si="25"/>
        <v>4.2477003297293882E-4</v>
      </c>
      <c r="U40" s="66">
        <f t="shared" si="25"/>
        <v>1.3748014061522016E-3</v>
      </c>
      <c r="V40" s="62">
        <f>SQRT(SUM(T41:U41))</f>
        <v>2.5727328390948549E-2</v>
      </c>
    </row>
    <row r="41" spans="1:22" x14ac:dyDescent="0.3">
      <c r="A41" s="62"/>
      <c r="B41" s="69">
        <v>35192</v>
      </c>
      <c r="C41" s="69">
        <v>10020</v>
      </c>
      <c r="D41" s="62">
        <f t="shared" si="26"/>
        <v>45212</v>
      </c>
      <c r="E41" s="62"/>
      <c r="F41" s="62"/>
      <c r="G41" s="62">
        <f t="shared" si="27"/>
        <v>34540.179858139512</v>
      </c>
      <c r="H41" s="62">
        <f t="shared" si="28"/>
        <v>10671.820141860488</v>
      </c>
      <c r="I41" s="62"/>
      <c r="J41" s="62">
        <f t="shared" si="29"/>
        <v>651.82014186048764</v>
      </c>
      <c r="K41" s="62">
        <f t="shared" si="30"/>
        <v>-651.82014186048764</v>
      </c>
      <c r="L41" s="62"/>
      <c r="M41" s="62"/>
      <c r="N41" s="62">
        <f t="shared" si="31"/>
        <v>3.5072399473516125</v>
      </c>
      <c r="O41" s="62">
        <f t="shared" si="32"/>
        <v>-6.3096973412077135</v>
      </c>
      <c r="P41" s="62">
        <f t="shared" si="23"/>
        <v>-2.802457393856101</v>
      </c>
      <c r="Q41" s="65">
        <f t="shared" si="33"/>
        <v>12.300732048298942</v>
      </c>
      <c r="R41" s="65">
        <f t="shared" si="34"/>
        <v>39.812280537643687</v>
      </c>
      <c r="S41" s="65">
        <f t="shared" si="24"/>
        <v>52.113012585942627</v>
      </c>
      <c r="T41" s="66">
        <f t="shared" si="25"/>
        <v>1.5623349863842277E-4</v>
      </c>
      <c r="U41" s="66">
        <f t="shared" si="25"/>
        <v>5.056619274972844E-4</v>
      </c>
      <c r="V41" s="62">
        <f>SQRT(SUM(T42:U42))</f>
        <v>3.124871090916298E-2</v>
      </c>
    </row>
    <row r="42" spans="1:22" x14ac:dyDescent="0.3">
      <c r="A42" s="62"/>
      <c r="B42" s="69">
        <v>9901</v>
      </c>
      <c r="C42" s="69">
        <v>2516</v>
      </c>
      <c r="D42" s="62">
        <f t="shared" si="26"/>
        <v>12417</v>
      </c>
      <c r="E42" s="62"/>
      <c r="F42" s="62"/>
      <c r="G42" s="62">
        <f t="shared" si="27"/>
        <v>9486.0969056559843</v>
      </c>
      <c r="H42" s="62">
        <f t="shared" si="28"/>
        <v>2930.9030943440166</v>
      </c>
      <c r="I42" s="62"/>
      <c r="J42" s="62">
        <f t="shared" si="29"/>
        <v>414.9030943440157</v>
      </c>
      <c r="K42" s="62">
        <f t="shared" si="30"/>
        <v>-414.90309434401661</v>
      </c>
      <c r="L42" s="62"/>
      <c r="M42" s="62"/>
      <c r="N42" s="62">
        <f t="shared" si="31"/>
        <v>4.2599342434023164</v>
      </c>
      <c r="O42" s="62">
        <f t="shared" si="32"/>
        <v>-7.6638314380549142</v>
      </c>
      <c r="P42" s="62">
        <f t="shared" si="23"/>
        <v>-3.4038971946525978</v>
      </c>
      <c r="Q42" s="65">
        <f t="shared" si="33"/>
        <v>18.147039758111667</v>
      </c>
      <c r="R42" s="65">
        <f t="shared" si="34"/>
        <v>58.734312310918853</v>
      </c>
      <c r="S42" s="65">
        <f t="shared" si="24"/>
        <v>76.881352069030527</v>
      </c>
      <c r="T42" s="66">
        <f t="shared" si="25"/>
        <v>2.3048835631960757E-4</v>
      </c>
      <c r="U42" s="66">
        <f t="shared" si="25"/>
        <v>7.4599357716483385E-4</v>
      </c>
      <c r="V42" s="62">
        <f>SQRT(SUM(T39:U42))</f>
        <v>5.9653354177254252E-2</v>
      </c>
    </row>
    <row r="43" spans="1:22" x14ac:dyDescent="0.3">
      <c r="A43" s="62"/>
      <c r="B43" s="69">
        <f>SUM(B39:B42)</f>
        <v>78733</v>
      </c>
      <c r="C43" s="69">
        <f>SUM(C39:C42)</f>
        <v>24326</v>
      </c>
      <c r="D43" s="62">
        <f>SUM(B43:C43)</f>
        <v>103059</v>
      </c>
      <c r="E43" s="62"/>
      <c r="F43" s="62"/>
      <c r="G43" s="62"/>
      <c r="H43" s="63"/>
      <c r="I43" s="62"/>
      <c r="J43" s="62"/>
      <c r="K43" s="62"/>
      <c r="L43" s="62"/>
      <c r="M43" s="62"/>
      <c r="N43" s="62"/>
      <c r="O43" s="64"/>
      <c r="P43" s="62"/>
      <c r="Q43" s="65"/>
      <c r="R43" s="65"/>
      <c r="S43" s="67">
        <f xml:space="preserve"> SUM(S39:S42)</f>
        <v>280.17316495171065</v>
      </c>
      <c r="T43" s="66"/>
      <c r="U43" s="62"/>
      <c r="V43" s="62"/>
    </row>
    <row r="44" spans="1:22" x14ac:dyDescent="0.3">
      <c r="U44" s="62" t="s">
        <v>52</v>
      </c>
      <c r="V44" s="62">
        <f>SQRT(S43/D43)</f>
        <v>5.2139913459932213E-2</v>
      </c>
    </row>
  </sheetData>
  <sheetProtection sheet="1" objects="1" scenarios="1" selectLockedCells="1"/>
  <protectedRanges>
    <protectedRange sqref="B7:B11 C11" name="Range1"/>
    <protectedRange sqref="B18:B22" name="Range2"/>
  </protectedRanges>
  <pageMargins left="0.7" right="0.7" top="0.75" bottom="0.75" header="0.3" footer="0.3"/>
  <pageSetup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Loet Leydesdorff</dc:creator>
  <cp:keywords/>
  <dc:description/>
  <cp:lastModifiedBy>Loet Leydesdorff</cp:lastModifiedBy>
  <cp:revision/>
  <dcterms:created xsi:type="dcterms:W3CDTF">2018-11-02T12:13:22Z</dcterms:created>
  <dcterms:modified xsi:type="dcterms:W3CDTF">2019-08-11T12:54:56Z</dcterms:modified>
  <cp:category/>
  <cp:contentStatus/>
</cp:coreProperties>
</file>